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8700" tabRatio="750" activeTab="0"/>
  </bookViews>
  <sheets>
    <sheet name="Contents" sheetId="1" r:id="rId1"/>
    <sheet name="ES_Formulas" sheetId="2" r:id="rId2"/>
    <sheet name="ES_ContinuousY" sheetId="3" r:id="rId3"/>
    <sheet name="ES_DichotomousY" sheetId="4" r:id="rId4"/>
    <sheet name="Clustering_Correction" sheetId="5" r:id="rId5"/>
    <sheet name="BH_Correction" sheetId="6" r:id="rId6"/>
  </sheets>
  <definedNames/>
  <calcPr fullCalcOnLoad="1"/>
</workbook>
</file>

<file path=xl/sharedStrings.xml><?xml version="1.0" encoding="utf-8"?>
<sst xmlns="http://schemas.openxmlformats.org/spreadsheetml/2006/main" count="185" uniqueCount="142">
  <si>
    <t>Unadjusted posttest means and SDs</t>
  </si>
  <si>
    <t>Formula</t>
  </si>
  <si>
    <t xml:space="preserve">g = </t>
  </si>
  <si>
    <t>g = t</t>
  </si>
  <si>
    <t>T-test result</t>
  </si>
  <si>
    <t>ANOVA F-test result</t>
  </si>
  <si>
    <t>ANCOVA adjusted posttest means and unadjusted posttest SDs</t>
  </si>
  <si>
    <t>Treatment group</t>
  </si>
  <si>
    <t>Control group</t>
  </si>
  <si>
    <t>pretest</t>
  </si>
  <si>
    <t>X1: unadjusted postest mean for the intervention group</t>
  </si>
  <si>
    <t xml:space="preserve">Bias corrected ES (g) </t>
  </si>
  <si>
    <t xml:space="preserve">ES (g) </t>
  </si>
  <si>
    <t>T-statistic</t>
  </si>
  <si>
    <t>F-statistic</t>
  </si>
  <si>
    <t>ES Computation</t>
  </si>
  <si>
    <t>Data Entry: ES Data Reported by the Study Authors</t>
  </si>
  <si>
    <t>Outcome Measures</t>
  </si>
  <si>
    <t>Outcome A</t>
  </si>
  <si>
    <t>Outcome B</t>
  </si>
  <si>
    <t>Outcome C</t>
  </si>
  <si>
    <t xml:space="preserve">Type of ES Data </t>
  </si>
  <si>
    <t>ANOVA F-statistic</t>
  </si>
  <si>
    <t>ANCOVA adjusted posttest means and SDs</t>
  </si>
  <si>
    <t>Pooled SD</t>
  </si>
  <si>
    <t>ANCOVA unadjusted pretest &amp; posttest means and SDs</t>
  </si>
  <si>
    <t>sample size (n1)</t>
  </si>
  <si>
    <t>sample size (n2)</t>
  </si>
  <si>
    <t>SD (S2)</t>
  </si>
  <si>
    <t>SD (S1)</t>
  </si>
  <si>
    <t>posttest (X1)</t>
  </si>
  <si>
    <t>posttest (X2)</t>
  </si>
  <si>
    <t>adjusted posttest (X1’)</t>
  </si>
  <si>
    <t>adjusted posttest (X2')</t>
  </si>
  <si>
    <t>Notation</t>
  </si>
  <si>
    <t>X2: unadjusted postest mean for the comparison group</t>
  </si>
  <si>
    <t>X1': ANCOVA adjusted postest mean for the intervention group</t>
  </si>
  <si>
    <t>X2': ANCOVA adjusted postest mean for the comparison group</t>
  </si>
  <si>
    <t>ANCOVA unadjusted pretest and posttest means and unadjusted posttest SDs</t>
  </si>
  <si>
    <t>n1: sample size for the intervention group</t>
  </si>
  <si>
    <t>n2: sample size for the comparison group</t>
  </si>
  <si>
    <t>S1: standard deviation of the intervention group</t>
  </si>
  <si>
    <t>S2: standard deviation of the comparison group</t>
  </si>
  <si>
    <t>X1-pre: pretest mean for the intervention group</t>
  </si>
  <si>
    <t>X2-pre: pretest mean for the comparison group</t>
  </si>
  <si>
    <t>U3</t>
  </si>
  <si>
    <t>Improvement Index</t>
  </si>
  <si>
    <r>
      <t xml:space="preserve">ES Data                                             </t>
    </r>
    <r>
      <rPr>
        <sz val="10"/>
        <rFont val="Arial"/>
        <family val="2"/>
      </rPr>
      <t>(assume sample sizes known)</t>
    </r>
  </si>
  <si>
    <t>P-value rank (i)</t>
  </si>
  <si>
    <t>Column 1</t>
  </si>
  <si>
    <t>Column 2</t>
  </si>
  <si>
    <t>Column 3</t>
  </si>
  <si>
    <t>Column 4</t>
  </si>
  <si>
    <t>Column 5</t>
  </si>
  <si>
    <t>Column 6</t>
  </si>
  <si>
    <t>Column 7</t>
  </si>
  <si>
    <t xml:space="preserve">significant </t>
  </si>
  <si>
    <t xml:space="preserve">Step 4: in Column 7, enter "significant" for this outcome and all the outcomes before this outcome (i.e., outcomes with a smaller i); enter "ns" for all outcomes below this outcome (i.e., outcomes with a larger i).   </t>
  </si>
  <si>
    <t>Number of comparisons within the domain (M)</t>
  </si>
  <si>
    <t>Pi' = i*0.05/M</t>
  </si>
  <si>
    <t>Pi &lt;= Pi' ?</t>
  </si>
  <si>
    <t>Statistical significant after BH correction (    = .05)</t>
  </si>
  <si>
    <t>Proportion (p1)</t>
  </si>
  <si>
    <t>Odds (Odds1)</t>
  </si>
  <si>
    <t>Proportion (p2)</t>
  </si>
  <si>
    <t>Odds (Odds2)</t>
  </si>
  <si>
    <t>Odds Ratio</t>
  </si>
  <si>
    <t>Logged Odds ratio  (LOR)</t>
  </si>
  <si>
    <t>Comparison Group</t>
  </si>
  <si>
    <t xml:space="preserve">Cox index (LORcox) </t>
  </si>
  <si>
    <t>Sample size (n1)</t>
  </si>
  <si>
    <t>Sample size (n2)</t>
  </si>
  <si>
    <t>DATA ENTRY</t>
  </si>
  <si>
    <t>Total number of students (N = Nt + Nc)</t>
  </si>
  <si>
    <t>COMPUTATION</t>
  </si>
  <si>
    <t xml:space="preserve">t-statistic derived from ES that ignores clustering </t>
  </si>
  <si>
    <t>t-statistic corrected for clustering</t>
  </si>
  <si>
    <t>Adjusted degrees of freedome (h) -- nominator</t>
  </si>
  <si>
    <t>Adjusted degrees of freedome (h) -- denominator</t>
  </si>
  <si>
    <t xml:space="preserve">Adjusted degrees of freedome (h) </t>
  </si>
  <si>
    <t>Significance (p-value) for corrected t with df=h</t>
  </si>
  <si>
    <t>Continuous Outcomes</t>
  </si>
  <si>
    <t xml:space="preserve">Dichotomous Outcomes </t>
  </si>
  <si>
    <t>proportion/probabiblity for each group</t>
  </si>
  <si>
    <t>p1: propability of the occurrence of the invent for the intervention group</t>
  </si>
  <si>
    <t>p2: propability of the occurrence of the invent for the comparison group</t>
  </si>
  <si>
    <t>LOR = In(OR)</t>
  </si>
  <si>
    <t>LORcox = LOR/1.65</t>
  </si>
  <si>
    <t xml:space="preserve">OR = </t>
  </si>
  <si>
    <t>OR: odds ratio</t>
  </si>
  <si>
    <t>LOR: logged odds ratio</t>
  </si>
  <si>
    <t>LORcox: Cox index</t>
  </si>
  <si>
    <t>HLM level-2 coefficient for intervention effect and unadjsted posttest SDs</t>
  </si>
  <si>
    <t xml:space="preserve">γ: HLM level-2 coefficient for the intervention's effect, representing   group mean difference adjusted for level-1 covariates </t>
  </si>
  <si>
    <t>r: correlation between prestest and posttest</t>
  </si>
  <si>
    <t>ANCOVA F-statistic and pretest/posttest correlation</t>
  </si>
  <si>
    <t>t: t-statistic for group mean difference</t>
  </si>
  <si>
    <t>F: ANOVA F-statistic for group mean difference</t>
  </si>
  <si>
    <t>F: ANCOVA F-statistic for adjusted group mean difference</t>
  </si>
  <si>
    <t>ANCOVA unajdusted pretest and posttest, pretest/posttest correlation, and unadjusted posttest SDs</t>
  </si>
  <si>
    <t>pretest-posttest correlation</t>
  </si>
  <si>
    <r>
      <t xml:space="preserve">Note: Data entry in </t>
    </r>
    <r>
      <rPr>
        <b/>
        <sz val="10"/>
        <rFont val="Arial"/>
        <family val="2"/>
      </rPr>
      <t>black;</t>
    </r>
    <r>
      <rPr>
        <sz val="10"/>
        <rFont val="Arial"/>
        <family val="2"/>
      </rPr>
      <t xml:space="preserve"> programmed computations in </t>
    </r>
    <r>
      <rPr>
        <b/>
        <sz val="10"/>
        <color indexed="12"/>
        <rFont val="Arial"/>
        <family val="2"/>
      </rPr>
      <t>blue.</t>
    </r>
  </si>
  <si>
    <t xml:space="preserve">Procedures: </t>
  </si>
  <si>
    <t>Outcome D</t>
  </si>
  <si>
    <t>ns</t>
  </si>
  <si>
    <t>ES_Formulas</t>
  </si>
  <si>
    <t>ES_ContinuousY</t>
  </si>
  <si>
    <t>ES_DichotomousY</t>
  </si>
  <si>
    <t>Clustering_Correction</t>
  </si>
  <si>
    <t>BH_Correction</t>
  </si>
  <si>
    <t>Workbook</t>
  </si>
  <si>
    <t>Description</t>
  </si>
  <si>
    <t>Workbook for computing ESs for dichotomous outcomes</t>
  </si>
  <si>
    <t xml:space="preserve">Workbook for computing ESs for continous outcomes under various scenarios, with two examples under each scenario </t>
  </si>
  <si>
    <t>Workbook for computing clustering-corrected statistical significance of ESs</t>
  </si>
  <si>
    <t>Workbook for applying Benjamini-Hochberg correction for multiple comparisons</t>
  </si>
  <si>
    <t xml:space="preserve">Step 1: enter only outcome measures with significant (clustering-corrected) p values in the accending order of the p values in Column 1. </t>
  </si>
  <si>
    <t>Clusetering-corrected p- value (Pi)</t>
  </si>
  <si>
    <t xml:space="preserve">Step 2: enter the number of comparisons within the domain, the clustering-corrected p-values, and the corresponding p-value ranks (i) Columns 2, 3&amp;4. Values in Columns 5&amp;6 will be generated automatically.  </t>
  </si>
  <si>
    <t>Outcome 1</t>
  </si>
  <si>
    <t>Outcome 2</t>
  </si>
  <si>
    <t>Outcome 3</t>
  </si>
  <si>
    <t xml:space="preserve">Number of students in treatment group (Nt)        </t>
  </si>
  <si>
    <t xml:space="preserve">Number of students in control group (Nc)                   </t>
  </si>
  <si>
    <t xml:space="preserve">Number of clusters in treatment group (Mt)                      </t>
  </si>
  <si>
    <t xml:space="preserve">Number of clusters in control group (Mc)              </t>
  </si>
  <si>
    <t>Total number of clusters (M = Mt + Mc)</t>
  </si>
  <si>
    <t>Average cluster size (N/M)</t>
  </si>
  <si>
    <t xml:space="preserve">Intraclass correlation (ICC)           </t>
  </si>
  <si>
    <t xml:space="preserve">ES based on student-level analysis ignoring clustering     </t>
  </si>
  <si>
    <t xml:space="preserve">Computing the Statistical Significance of ESs Corrected for Clustering </t>
  </si>
  <si>
    <t xml:space="preserve">This Excel file contains five workbooks described below. </t>
  </si>
  <si>
    <t>ES Computation for Dichotomous Outcomes</t>
  </si>
  <si>
    <t>ES Computation for Continuous Outcomes</t>
  </si>
  <si>
    <t>Benjamini-Hochberg Correction for Multiple Comparisons for Domains with Multiple Outcomes</t>
  </si>
  <si>
    <r>
      <t>Step 3: identify and highligt the outcome with the largest i (p-value rank) that has a "YES" in Column 6--</t>
    </r>
    <r>
      <rPr>
        <b/>
        <sz val="10"/>
        <rFont val="Arial"/>
        <family val="2"/>
      </rPr>
      <t xml:space="preserve">THIS IS THE CUTOFF POINT </t>
    </r>
    <r>
      <rPr>
        <sz val="10"/>
        <rFont val="Arial"/>
        <family val="2"/>
      </rPr>
      <t xml:space="preserve">(Outcome B in the example). </t>
    </r>
  </si>
  <si>
    <t>The computations contained in these workbooks are based on the Technical Details of WWC-Conducted Computations document created during the first phase of the What Works Clearinghouse (WWC), which is available online at: http://ies.ed.gov/ncee/wwc/pdf/conducted_computations.pdf</t>
  </si>
  <si>
    <t xml:space="preserve">Technical contact: </t>
  </si>
  <si>
    <t>Dr. Mengli Song, American Institutes for Research, Email: msong@air.org.</t>
  </si>
  <si>
    <t>June 2009</t>
  </si>
  <si>
    <t xml:space="preserve">WWC (PHASE I) COMPUTATION TOOLS </t>
  </si>
  <si>
    <t xml:space="preserve">Effect size (ES) computation formulas for both continuous and dichotomous outcomes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</si>
</sst>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0"/>
    <numFmt numFmtId="183" formatCode="0.00000"/>
    <numFmt numFmtId="184" formatCode="0.0"/>
    <numFmt numFmtId="185" formatCode="0.000"/>
    <numFmt numFmtId="186" formatCode="0.000_ ;[Red]\-0.000\ "/>
    <numFmt numFmtId="187" formatCode="0.00000000000000"/>
    <numFmt numFmtId="188" formatCode="0.0000000000000"/>
    <numFmt numFmtId="189" formatCode="0.000000000000"/>
    <numFmt numFmtId="190" formatCode="0.00000000000"/>
    <numFmt numFmtId="191" formatCode="0.0000000000"/>
    <numFmt numFmtId="192" formatCode="0.000000000"/>
    <numFmt numFmtId="193" formatCode="0.00000000"/>
    <numFmt numFmtId="194" formatCode="0.000000"/>
    <numFmt numFmtId="195" formatCode="0.0%"/>
    <numFmt numFmtId="196" formatCode="0.00_ ;[Red]\-0.00\ "/>
    <numFmt numFmtId="197" formatCode="#"/>
  </numFmts>
  <fonts count="48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33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7" fillId="33" borderId="11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7" fillId="33" borderId="12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182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82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8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2" fontId="0" fillId="0" borderId="18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8" xfId="0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182" fontId="7" fillId="0" borderId="0" xfId="0" applyNumberFormat="1" applyFont="1" applyAlignment="1">
      <alignment horizontal="center" vertical="center"/>
    </xf>
    <xf numFmtId="182" fontId="7" fillId="0" borderId="22" xfId="0" applyNumberFormat="1" applyFont="1" applyBorder="1" applyAlignment="1">
      <alignment horizontal="center" vertical="center"/>
    </xf>
    <xf numFmtId="182" fontId="7" fillId="0" borderId="18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1" fillId="0" borderId="0" xfId="0" applyFont="1" applyAlignment="1">
      <alignment vertical="center"/>
    </xf>
    <xf numFmtId="0" fontId="9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vertical="center"/>
    </xf>
    <xf numFmtId="2" fontId="6" fillId="0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33" borderId="20" xfId="0" applyFill="1" applyBorder="1" applyAlignment="1">
      <alignment/>
    </xf>
    <xf numFmtId="2" fontId="7" fillId="0" borderId="20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6" fillId="33" borderId="16" xfId="0" applyNumberFormat="1" applyFont="1" applyFill="1" applyBorder="1" applyAlignment="1">
      <alignment horizontal="center"/>
    </xf>
    <xf numFmtId="2" fontId="6" fillId="33" borderId="20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0" fillId="0" borderId="16" xfId="0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2" fontId="7" fillId="0" borderId="28" xfId="0" applyNumberFormat="1" applyFont="1" applyFill="1" applyBorder="1" applyAlignment="1">
      <alignment horizontal="center"/>
    </xf>
    <xf numFmtId="2" fontId="7" fillId="33" borderId="27" xfId="0" applyNumberFormat="1" applyFont="1" applyFill="1" applyBorder="1" applyAlignment="1">
      <alignment horizontal="center"/>
    </xf>
    <xf numFmtId="2" fontId="7" fillId="33" borderId="28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7" fillId="33" borderId="11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2" fontId="0" fillId="33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0" borderId="24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0" fillId="33" borderId="31" xfId="0" applyFill="1" applyBorder="1" applyAlignment="1">
      <alignment horizontal="left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2" fontId="0" fillId="0" borderId="12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2" fillId="0" borderId="0" xfId="0" applyFont="1" applyAlignment="1">
      <alignment/>
    </xf>
    <xf numFmtId="182" fontId="2" fillId="0" borderId="0" xfId="0" applyNumberFormat="1" applyFont="1" applyAlignment="1">
      <alignment horizontal="center" vertical="center"/>
    </xf>
    <xf numFmtId="182" fontId="7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82" fontId="6" fillId="0" borderId="0" xfId="0" applyNumberFormat="1" applyFont="1" applyAlignment="1">
      <alignment horizontal="center" vertical="center"/>
    </xf>
    <xf numFmtId="182" fontId="6" fillId="0" borderId="0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/>
    </xf>
    <xf numFmtId="0" fontId="0" fillId="35" borderId="0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 vertical="center"/>
    </xf>
    <xf numFmtId="2" fontId="0" fillId="35" borderId="16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/>
    </xf>
    <xf numFmtId="2" fontId="6" fillId="35" borderId="20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2" fontId="7" fillId="35" borderId="19" xfId="0" applyNumberFormat="1" applyFont="1" applyFill="1" applyBorder="1" applyAlignment="1">
      <alignment horizontal="center" vertical="center"/>
    </xf>
    <xf numFmtId="2" fontId="6" fillId="35" borderId="18" xfId="0" applyNumberFormat="1" applyFont="1" applyFill="1" applyBorder="1" applyAlignment="1">
      <alignment horizontal="center" vertical="center" wrapText="1"/>
    </xf>
    <xf numFmtId="2" fontId="46" fillId="0" borderId="22" xfId="0" applyNumberFormat="1" applyFont="1" applyBorder="1" applyAlignment="1">
      <alignment horizontal="center" vertical="center"/>
    </xf>
    <xf numFmtId="2" fontId="46" fillId="0" borderId="33" xfId="0" applyNumberFormat="1" applyFont="1" applyBorder="1" applyAlignment="1">
      <alignment horizontal="center" vertical="center"/>
    </xf>
    <xf numFmtId="2" fontId="46" fillId="0" borderId="34" xfId="0" applyNumberFormat="1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center" vertical="center"/>
    </xf>
    <xf numFmtId="2" fontId="46" fillId="0" borderId="26" xfId="0" applyNumberFormat="1" applyFont="1" applyBorder="1" applyAlignment="1">
      <alignment horizontal="center" vertical="center"/>
    </xf>
    <xf numFmtId="2" fontId="46" fillId="0" borderId="30" xfId="0" applyNumberFormat="1" applyFont="1" applyBorder="1" applyAlignment="1">
      <alignment horizontal="center" vertical="center"/>
    </xf>
    <xf numFmtId="182" fontId="47" fillId="0" borderId="18" xfId="0" applyNumberFormat="1" applyFont="1" applyBorder="1" applyAlignment="1">
      <alignment horizontal="center" vertical="center"/>
    </xf>
    <xf numFmtId="182" fontId="47" fillId="0" borderId="25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wrapText="1"/>
    </xf>
    <xf numFmtId="0" fontId="0" fillId="35" borderId="21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2" fillId="35" borderId="3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0" fillId="35" borderId="18" xfId="0" applyFill="1" applyBorder="1" applyAlignment="1">
      <alignment horizontal="center"/>
    </xf>
    <xf numFmtId="0" fontId="6" fillId="35" borderId="32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 vertical="center"/>
    </xf>
    <xf numFmtId="0" fontId="0" fillId="35" borderId="21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2" fillId="35" borderId="21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vertical="center"/>
    </xf>
    <xf numFmtId="0" fontId="6" fillId="35" borderId="21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7.wmf" /><Relationship Id="rId7" Type="http://schemas.openxmlformats.org/officeDocument/2006/relationships/image" Target="../media/image8.wmf" /><Relationship Id="rId8" Type="http://schemas.openxmlformats.org/officeDocument/2006/relationships/image" Target="../media/image10.wmf" /><Relationship Id="rId9" Type="http://schemas.openxmlformats.org/officeDocument/2006/relationships/image" Target="../media/image9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7">
      <selection activeCell="B16" sqref="B16"/>
    </sheetView>
  </sheetViews>
  <sheetFormatPr defaultColWidth="9.140625" defaultRowHeight="12.75"/>
  <cols>
    <col min="1" max="1" width="20.28125" style="0" customWidth="1"/>
    <col min="2" max="2" width="102.57421875" style="0" customWidth="1"/>
  </cols>
  <sheetData>
    <row r="1" spans="1:2" ht="15.75">
      <c r="A1" s="219" t="s">
        <v>140</v>
      </c>
      <c r="B1" s="220"/>
    </row>
    <row r="2" spans="1:2" ht="12.75">
      <c r="A2" s="223" t="s">
        <v>139</v>
      </c>
      <c r="B2" s="224"/>
    </row>
    <row r="3" spans="1:2" ht="12.75">
      <c r="A3" s="218"/>
      <c r="B3" s="217"/>
    </row>
    <row r="4" ht="12.75">
      <c r="A4" t="s">
        <v>131</v>
      </c>
    </row>
    <row r="5" spans="1:2" ht="29.25" customHeight="1">
      <c r="A5" s="221" t="s">
        <v>136</v>
      </c>
      <c r="B5" s="222"/>
    </row>
    <row r="6" spans="1:2" ht="12.75">
      <c r="A6" s="65"/>
      <c r="B6" s="65"/>
    </row>
    <row r="7" spans="1:2" ht="12.75">
      <c r="A7" s="184" t="s">
        <v>110</v>
      </c>
      <c r="B7" s="184" t="s">
        <v>111</v>
      </c>
    </row>
    <row r="8" spans="1:2" ht="12.75">
      <c r="A8" t="s">
        <v>105</v>
      </c>
      <c r="B8" t="s">
        <v>141</v>
      </c>
    </row>
    <row r="9" spans="1:2" ht="12.75">
      <c r="A9" t="s">
        <v>106</v>
      </c>
      <c r="B9" t="s">
        <v>113</v>
      </c>
    </row>
    <row r="10" spans="1:2" ht="12.75">
      <c r="A10" t="s">
        <v>107</v>
      </c>
      <c r="B10" t="s">
        <v>112</v>
      </c>
    </row>
    <row r="11" spans="1:2" ht="12.75">
      <c r="A11" t="s">
        <v>108</v>
      </c>
      <c r="B11" t="s">
        <v>114</v>
      </c>
    </row>
    <row r="12" spans="1:2" ht="12.75">
      <c r="A12" s="65" t="s">
        <v>109</v>
      </c>
      <c r="B12" s="65" t="s">
        <v>115</v>
      </c>
    </row>
    <row r="14" spans="1:2" ht="12.75">
      <c r="A14" s="171" t="s">
        <v>137</v>
      </c>
      <c r="B14" s="108" t="s">
        <v>138</v>
      </c>
    </row>
    <row r="17" ht="15.75">
      <c r="B17" s="181"/>
    </row>
    <row r="23" ht="12.75">
      <c r="B23" s="15"/>
    </row>
  </sheetData>
  <sheetProtection/>
  <mergeCells count="3">
    <mergeCell ref="A1:B1"/>
    <mergeCell ref="A5:B5"/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9.140625" style="97" customWidth="1"/>
    <col min="2" max="2" width="36.57421875" style="48" customWidth="1"/>
    <col min="3" max="3" width="58.8515625" style="48" customWidth="1"/>
  </cols>
  <sheetData>
    <row r="1" spans="1:3" s="47" customFormat="1" ht="25.5">
      <c r="A1" s="182" t="s">
        <v>47</v>
      </c>
      <c r="B1" s="183" t="s">
        <v>1</v>
      </c>
      <c r="C1" s="183" t="s">
        <v>34</v>
      </c>
    </row>
    <row r="2" spans="1:3" s="47" customFormat="1" ht="12.75">
      <c r="A2" s="96" t="s">
        <v>81</v>
      </c>
      <c r="B2" s="95"/>
      <c r="C2" s="95"/>
    </row>
    <row r="3" spans="2:3" ht="15.75">
      <c r="B3" s="98"/>
      <c r="C3" s="99" t="s">
        <v>10</v>
      </c>
    </row>
    <row r="4" spans="1:3" ht="12.75">
      <c r="A4" s="97" t="s">
        <v>0</v>
      </c>
      <c r="B4" s="100" t="s">
        <v>2</v>
      </c>
      <c r="C4" s="48" t="s">
        <v>35</v>
      </c>
    </row>
    <row r="5" ht="12.75">
      <c r="C5" s="48" t="s">
        <v>39</v>
      </c>
    </row>
    <row r="6" ht="12.75">
      <c r="C6" s="48" t="s">
        <v>40</v>
      </c>
    </row>
    <row r="7" spans="1:3" ht="12.75">
      <c r="A7" s="101"/>
      <c r="B7" s="102"/>
      <c r="C7" s="102" t="s">
        <v>41</v>
      </c>
    </row>
    <row r="8" spans="1:3" ht="12.75">
      <c r="A8" s="103"/>
      <c r="B8" s="80"/>
      <c r="C8" s="80" t="s">
        <v>42</v>
      </c>
    </row>
    <row r="10" spans="1:3" ht="15.75">
      <c r="A10" s="97" t="s">
        <v>4</v>
      </c>
      <c r="B10" s="104" t="s">
        <v>3</v>
      </c>
      <c r="C10" s="48" t="s">
        <v>96</v>
      </c>
    </row>
    <row r="11" spans="1:3" ht="12.75">
      <c r="A11" s="101"/>
      <c r="B11" s="102"/>
      <c r="C11" s="102"/>
    </row>
    <row r="12" spans="1:3" ht="12.75">
      <c r="A12" s="103"/>
      <c r="B12" s="80"/>
      <c r="C12" s="80"/>
    </row>
    <row r="14" spans="1:3" ht="12.75">
      <c r="A14" s="97" t="s">
        <v>5</v>
      </c>
      <c r="B14" s="100" t="s">
        <v>2</v>
      </c>
      <c r="C14" s="48" t="s">
        <v>97</v>
      </c>
    </row>
    <row r="16" spans="1:3" ht="12.75">
      <c r="A16" s="103"/>
      <c r="B16" s="80"/>
      <c r="C16" s="80"/>
    </row>
    <row r="18" spans="1:3" ht="25.5">
      <c r="A18" s="97" t="s">
        <v>6</v>
      </c>
      <c r="B18" s="48" t="s">
        <v>2</v>
      </c>
      <c r="C18" s="99" t="s">
        <v>36</v>
      </c>
    </row>
    <row r="19" ht="12.75">
      <c r="C19" s="48" t="s">
        <v>37</v>
      </c>
    </row>
    <row r="21" spans="1:3" ht="12.75">
      <c r="A21" s="103"/>
      <c r="B21" s="80"/>
      <c r="C21" s="80"/>
    </row>
    <row r="23" spans="1:3" ht="27.75" customHeight="1">
      <c r="A23" s="97" t="s">
        <v>38</v>
      </c>
      <c r="B23" s="48" t="s">
        <v>2</v>
      </c>
      <c r="C23" s="48" t="s">
        <v>43</v>
      </c>
    </row>
    <row r="24" ht="12.75">
      <c r="C24" s="48" t="s">
        <v>44</v>
      </c>
    </row>
    <row r="26" spans="1:3" ht="12.75">
      <c r="A26" s="103"/>
      <c r="B26" s="80"/>
      <c r="C26" s="80"/>
    </row>
    <row r="27" spans="1:3" ht="12.75">
      <c r="A27" s="101"/>
      <c r="B27" s="102"/>
      <c r="C27" s="102"/>
    </row>
    <row r="28" spans="1:3" ht="38.25">
      <c r="A28" s="97" t="s">
        <v>99</v>
      </c>
      <c r="B28" s="48" t="s">
        <v>2</v>
      </c>
      <c r="C28" s="48" t="s">
        <v>94</v>
      </c>
    </row>
    <row r="30" spans="1:3" ht="12.75">
      <c r="A30" s="101"/>
      <c r="B30" s="102"/>
      <c r="C30" s="102"/>
    </row>
    <row r="31" spans="1:3" ht="12.75">
      <c r="A31" s="103"/>
      <c r="B31" s="80"/>
      <c r="C31" s="80"/>
    </row>
    <row r="33" spans="1:3" ht="25.5">
      <c r="A33" s="97" t="s">
        <v>95</v>
      </c>
      <c r="B33" s="48" t="s">
        <v>2</v>
      </c>
      <c r="C33" s="48" t="s">
        <v>98</v>
      </c>
    </row>
    <row r="35" spans="1:3" ht="12.75">
      <c r="A35" s="103"/>
      <c r="B35" s="80"/>
      <c r="C35" s="80"/>
    </row>
    <row r="36" spans="1:3" ht="12.75">
      <c r="A36" s="101"/>
      <c r="B36" s="102"/>
      <c r="C36" s="102"/>
    </row>
    <row r="37" spans="1:3" s="42" customFormat="1" ht="25.5">
      <c r="A37" s="101" t="s">
        <v>92</v>
      </c>
      <c r="B37" s="102" t="s">
        <v>2</v>
      </c>
      <c r="C37" s="101" t="s">
        <v>93</v>
      </c>
    </row>
    <row r="38" spans="1:3" s="42" customFormat="1" ht="12.75">
      <c r="A38" s="101"/>
      <c r="B38" s="102"/>
      <c r="C38" s="102"/>
    </row>
    <row r="39" spans="1:3" s="42" customFormat="1" ht="12.75">
      <c r="A39" s="101"/>
      <c r="B39" s="102"/>
      <c r="C39" s="102"/>
    </row>
    <row r="40" spans="1:3" s="65" customFormat="1" ht="12.75">
      <c r="A40" s="103"/>
      <c r="B40" s="80"/>
      <c r="C40" s="80"/>
    </row>
    <row r="41" spans="1:3" ht="12.75">
      <c r="A41" s="105" t="s">
        <v>82</v>
      </c>
      <c r="B41" s="106"/>
      <c r="C41" s="106"/>
    </row>
    <row r="43" spans="1:3" ht="12.75">
      <c r="A43" s="97" t="s">
        <v>83</v>
      </c>
      <c r="B43" s="48" t="s">
        <v>88</v>
      </c>
      <c r="C43" s="48" t="s">
        <v>89</v>
      </c>
    </row>
    <row r="44" ht="12.75">
      <c r="C44" s="48" t="s">
        <v>84</v>
      </c>
    </row>
    <row r="45" ht="12.75">
      <c r="C45" s="48" t="s">
        <v>85</v>
      </c>
    </row>
    <row r="47" spans="2:3" ht="12.75">
      <c r="B47" s="48" t="s">
        <v>86</v>
      </c>
      <c r="C47" s="48" t="s">
        <v>90</v>
      </c>
    </row>
    <row r="49" spans="1:3" ht="12.75">
      <c r="A49" s="101"/>
      <c r="B49" s="102" t="s">
        <v>87</v>
      </c>
      <c r="C49" s="102" t="s">
        <v>91</v>
      </c>
    </row>
    <row r="50" spans="1:3" ht="12.75">
      <c r="A50" s="103"/>
      <c r="B50" s="80"/>
      <c r="C50" s="80"/>
    </row>
  </sheetData>
  <sheetProtection/>
  <printOptions/>
  <pageMargins left="0.75" right="0.75" top="1" bottom="1" header="0.5" footer="0.5"/>
  <pageSetup horizontalDpi="600" verticalDpi="600" orientation="portrait" r:id="rId11"/>
  <legacyDrawing r:id="rId10"/>
  <oleObjects>
    <oleObject progId="Equation.3" shapeId="481487" r:id="rId1"/>
    <oleObject progId="Equation.3" shapeId="514916" r:id="rId2"/>
    <oleObject progId="Equation.3" shapeId="519927" r:id="rId3"/>
    <oleObject progId="Equation.3" shapeId="308755" r:id="rId4"/>
    <oleObject progId="Equation.3" shapeId="354538" r:id="rId5"/>
    <oleObject progId="Equation.3" shapeId="264868768" r:id="rId6"/>
    <oleObject progId="Equation.3" shapeId="264903169" r:id="rId7"/>
    <oleObject progId="Equation.3" shapeId="264951958" r:id="rId8"/>
    <oleObject progId="Equation.3" shapeId="264959586" r:id="rId9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4">
      <selection activeCell="E20" sqref="E20"/>
    </sheetView>
  </sheetViews>
  <sheetFormatPr defaultColWidth="9.140625" defaultRowHeight="12.75"/>
  <cols>
    <col min="1" max="1" width="31.421875" style="0" customWidth="1"/>
    <col min="2" max="2" width="12.140625" style="0" customWidth="1"/>
    <col min="5" max="5" width="8.7109375" style="0" customWidth="1"/>
    <col min="15" max="15" width="9.8515625" style="0" customWidth="1"/>
    <col min="16" max="16" width="9.140625" style="15" customWidth="1"/>
    <col min="18" max="18" width="14.00390625" style="0" customWidth="1"/>
    <col min="19" max="19" width="7.8515625" style="69" customWidth="1"/>
    <col min="20" max="20" width="15.7109375" style="69" customWidth="1"/>
  </cols>
  <sheetData>
    <row r="1" spans="1:20" ht="12.75">
      <c r="A1" s="225" t="s">
        <v>133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42"/>
      <c r="O1" s="42"/>
      <c r="P1" s="78"/>
      <c r="Q1" s="42"/>
      <c r="R1" s="42"/>
      <c r="S1" s="79"/>
      <c r="T1" s="79"/>
    </row>
    <row r="2" spans="1:20" ht="12.75">
      <c r="A2" s="82" t="s">
        <v>101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78"/>
      <c r="Q2" s="42"/>
      <c r="R2" s="42"/>
      <c r="S2" s="79"/>
      <c r="T2" s="79"/>
    </row>
    <row r="3" spans="1:20" ht="12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72"/>
      <c r="Q3" s="65"/>
      <c r="R3" s="65"/>
      <c r="S3" s="73"/>
      <c r="T3" s="73"/>
    </row>
    <row r="4" spans="1:20" s="15" customFormat="1" ht="12.75">
      <c r="A4" s="238" t="s">
        <v>21</v>
      </c>
      <c r="B4" s="235" t="s">
        <v>17</v>
      </c>
      <c r="C4" s="245" t="s">
        <v>16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184"/>
      <c r="P4" s="241" t="s">
        <v>15</v>
      </c>
      <c r="Q4" s="242"/>
      <c r="R4" s="242"/>
      <c r="S4" s="243"/>
      <c r="T4" s="244"/>
    </row>
    <row r="5" spans="1:20" s="15" customFormat="1" ht="12.75" customHeight="1">
      <c r="A5" s="239"/>
      <c r="B5" s="236"/>
      <c r="C5" s="249" t="s">
        <v>7</v>
      </c>
      <c r="D5" s="247"/>
      <c r="E5" s="247"/>
      <c r="F5" s="247"/>
      <c r="G5" s="248"/>
      <c r="H5" s="246" t="s">
        <v>8</v>
      </c>
      <c r="I5" s="247"/>
      <c r="J5" s="247"/>
      <c r="K5" s="247"/>
      <c r="L5" s="248"/>
      <c r="M5" s="185"/>
      <c r="N5" s="185"/>
      <c r="O5" s="186"/>
      <c r="P5" s="229" t="s">
        <v>24</v>
      </c>
      <c r="Q5" s="250" t="s">
        <v>12</v>
      </c>
      <c r="R5" s="227" t="s">
        <v>11</v>
      </c>
      <c r="S5" s="187"/>
      <c r="T5" s="188"/>
    </row>
    <row r="6" spans="1:20" s="15" customFormat="1" ht="38.25">
      <c r="A6" s="240"/>
      <c r="B6" s="237"/>
      <c r="C6" s="189" t="s">
        <v>9</v>
      </c>
      <c r="D6" s="189" t="s">
        <v>30</v>
      </c>
      <c r="E6" s="190" t="s">
        <v>32</v>
      </c>
      <c r="F6" s="189" t="s">
        <v>29</v>
      </c>
      <c r="G6" s="191" t="s">
        <v>26</v>
      </c>
      <c r="H6" s="189" t="s">
        <v>9</v>
      </c>
      <c r="I6" s="190" t="s">
        <v>31</v>
      </c>
      <c r="J6" s="190" t="s">
        <v>33</v>
      </c>
      <c r="K6" s="192" t="s">
        <v>28</v>
      </c>
      <c r="L6" s="191" t="s">
        <v>27</v>
      </c>
      <c r="M6" s="193" t="s">
        <v>13</v>
      </c>
      <c r="N6" s="194" t="s">
        <v>14</v>
      </c>
      <c r="O6" s="195" t="s">
        <v>100</v>
      </c>
      <c r="P6" s="230"/>
      <c r="Q6" s="251"/>
      <c r="R6" s="228"/>
      <c r="S6" s="196" t="s">
        <v>45</v>
      </c>
      <c r="T6" s="197" t="s">
        <v>46</v>
      </c>
    </row>
    <row r="7" spans="1:20" s="15" customFormat="1" ht="15.75" customHeight="1">
      <c r="A7" s="157" t="s">
        <v>0</v>
      </c>
      <c r="B7" s="162" t="s">
        <v>18</v>
      </c>
      <c r="C7" s="19"/>
      <c r="D7" s="19">
        <v>3.06</v>
      </c>
      <c r="E7" s="20"/>
      <c r="F7" s="19">
        <v>0.99</v>
      </c>
      <c r="G7" s="40">
        <v>173</v>
      </c>
      <c r="H7" s="22"/>
      <c r="I7" s="21">
        <v>2.76</v>
      </c>
      <c r="J7" s="3"/>
      <c r="K7" s="23">
        <v>1.16</v>
      </c>
      <c r="L7" s="40">
        <v>169</v>
      </c>
      <c r="M7" s="3"/>
      <c r="N7" s="136"/>
      <c r="O7" s="37"/>
      <c r="P7" s="139">
        <f>SQRT((F7^2*(G7-1)+K7^2*(L7-1))/(G7+L7-2))</f>
        <v>1.077357879258327</v>
      </c>
      <c r="Q7" s="143">
        <f>(D7-I7)/P7</f>
        <v>0.2784590021344865</v>
      </c>
      <c r="R7" s="113">
        <f aca="true" t="shared" si="0" ref="R7:R14">(Q7)*((1-(3/((4*(G7+L7))-9))))</f>
        <v>0.27784430235052515</v>
      </c>
      <c r="S7" s="14">
        <f>NORMSDIST(R7)</f>
        <v>0.6094340593956971</v>
      </c>
      <c r="T7" s="114">
        <f>S7-0.5</f>
        <v>0.10943405939569706</v>
      </c>
    </row>
    <row r="8" spans="1:20" s="15" customFormat="1" ht="12.75">
      <c r="A8" s="158"/>
      <c r="B8" s="162" t="s">
        <v>19</v>
      </c>
      <c r="C8" s="19"/>
      <c r="D8" s="19">
        <v>2.74</v>
      </c>
      <c r="E8" s="20"/>
      <c r="F8" s="19">
        <v>1.11</v>
      </c>
      <c r="G8" s="40">
        <v>173</v>
      </c>
      <c r="H8" s="22"/>
      <c r="I8" s="21">
        <v>2.38</v>
      </c>
      <c r="J8" s="3"/>
      <c r="K8" s="23">
        <v>1.29</v>
      </c>
      <c r="L8" s="40">
        <v>169</v>
      </c>
      <c r="M8" s="3"/>
      <c r="N8" s="136"/>
      <c r="O8" s="37"/>
      <c r="P8" s="139">
        <f>SQRT((F8^2*(G8-1)+K8^2*(L8-1))/(G8+L8-2))</f>
        <v>1.2023139454940261</v>
      </c>
      <c r="Q8" s="143">
        <f>(D8-I8)/P8</f>
        <v>0.299422626967932</v>
      </c>
      <c r="R8" s="113">
        <f t="shared" si="0"/>
        <v>0.29876164986645753</v>
      </c>
      <c r="S8" s="14">
        <f aca="true" t="shared" si="1" ref="S8:S24">NORMSDIST(R8)</f>
        <v>0.6174390429172605</v>
      </c>
      <c r="T8" s="114">
        <f aca="true" t="shared" si="2" ref="T8:T24">S8-0.5</f>
        <v>0.11743904291726048</v>
      </c>
    </row>
    <row r="9" spans="1:20" s="15" customFormat="1" ht="12.75">
      <c r="A9" s="159"/>
      <c r="B9" s="163" t="s">
        <v>20</v>
      </c>
      <c r="C9" s="25"/>
      <c r="D9" s="25"/>
      <c r="E9" s="26"/>
      <c r="F9" s="25"/>
      <c r="G9" s="41"/>
      <c r="H9" s="28"/>
      <c r="I9" s="27"/>
      <c r="J9" s="29"/>
      <c r="K9" s="30"/>
      <c r="L9" s="41"/>
      <c r="M9" s="29"/>
      <c r="N9" s="137"/>
      <c r="O9" s="38"/>
      <c r="P9" s="140">
        <f>SQRT((F9^2*(G9-1)+K9^2*(L9-1))/(G9+L9-2))</f>
        <v>0</v>
      </c>
      <c r="Q9" s="144" t="e">
        <f>(D9-I9)/P9</f>
        <v>#DIV/0!</v>
      </c>
      <c r="R9" s="115" t="e">
        <f t="shared" si="0"/>
        <v>#DIV/0!</v>
      </c>
      <c r="S9" s="31" t="e">
        <f t="shared" si="1"/>
        <v>#DIV/0!</v>
      </c>
      <c r="T9" s="117" t="e">
        <f t="shared" si="2"/>
        <v>#DIV/0!</v>
      </c>
    </row>
    <row r="10" spans="1:20" ht="12.75">
      <c r="A10" s="160" t="s">
        <v>13</v>
      </c>
      <c r="B10" s="164" t="s">
        <v>18</v>
      </c>
      <c r="C10" s="2"/>
      <c r="D10" s="2"/>
      <c r="E10" s="16"/>
      <c r="F10" s="2"/>
      <c r="G10" s="10">
        <v>212</v>
      </c>
      <c r="H10" s="17"/>
      <c r="I10" s="7"/>
      <c r="J10" s="8"/>
      <c r="K10" s="18"/>
      <c r="L10" s="10">
        <v>134</v>
      </c>
      <c r="M10" s="8">
        <v>1.56</v>
      </c>
      <c r="N10" s="124"/>
      <c r="O10" s="13"/>
      <c r="P10" s="141"/>
      <c r="Q10" s="145">
        <f>M10*SQRT((G10+L10)/(G10*L10))</f>
        <v>0.17216398959384513</v>
      </c>
      <c r="R10" s="118">
        <f t="shared" si="0"/>
        <v>0.1717883590710949</v>
      </c>
      <c r="S10" s="5">
        <f t="shared" si="1"/>
        <v>0.5681980412065054</v>
      </c>
      <c r="T10" s="119">
        <f t="shared" si="2"/>
        <v>0.06819804120650541</v>
      </c>
    </row>
    <row r="11" spans="1:20" ht="12.75">
      <c r="A11" s="160"/>
      <c r="B11" s="164" t="s">
        <v>19</v>
      </c>
      <c r="C11" s="2"/>
      <c r="D11" s="2"/>
      <c r="E11" s="16"/>
      <c r="F11" s="2"/>
      <c r="G11" s="10">
        <v>26</v>
      </c>
      <c r="H11" s="17"/>
      <c r="I11" s="7"/>
      <c r="J11" s="8"/>
      <c r="K11" s="18"/>
      <c r="L11" s="10">
        <v>26</v>
      </c>
      <c r="M11" s="8">
        <v>2.31</v>
      </c>
      <c r="N11" s="124"/>
      <c r="O11" s="13"/>
      <c r="P11" s="141"/>
      <c r="Q11" s="145">
        <f>M11*SQRT((G11+L11)/(G11*L11))</f>
        <v>0.6406787266401397</v>
      </c>
      <c r="R11" s="118">
        <f t="shared" si="0"/>
        <v>0.631020253374208</v>
      </c>
      <c r="S11" s="5">
        <f t="shared" si="1"/>
        <v>0.7359863591097897</v>
      </c>
      <c r="T11" s="119">
        <f t="shared" si="2"/>
        <v>0.2359863591097897</v>
      </c>
    </row>
    <row r="12" spans="1:20" ht="12.75">
      <c r="A12" s="161"/>
      <c r="B12" s="165" t="s">
        <v>20</v>
      </c>
      <c r="C12" s="9"/>
      <c r="D12" s="9"/>
      <c r="E12" s="12"/>
      <c r="F12" s="9"/>
      <c r="G12" s="11"/>
      <c r="H12" s="33"/>
      <c r="I12" s="32"/>
      <c r="J12" s="34"/>
      <c r="K12" s="35"/>
      <c r="L12" s="11"/>
      <c r="M12" s="34"/>
      <c r="N12" s="125"/>
      <c r="O12" s="39"/>
      <c r="P12" s="142"/>
      <c r="Q12" s="146" t="e">
        <f>M12*SQRT((G12+L12)/(G12*L12))</f>
        <v>#DIV/0!</v>
      </c>
      <c r="R12" s="121" t="e">
        <f t="shared" si="0"/>
        <v>#DIV/0!</v>
      </c>
      <c r="S12" s="4" t="e">
        <f t="shared" si="1"/>
        <v>#DIV/0!</v>
      </c>
      <c r="T12" s="120" t="e">
        <f t="shared" si="2"/>
        <v>#DIV/0!</v>
      </c>
    </row>
    <row r="13" spans="1:20" s="15" customFormat="1" ht="12.75">
      <c r="A13" s="158" t="s">
        <v>22</v>
      </c>
      <c r="B13" s="162" t="s">
        <v>18</v>
      </c>
      <c r="C13" s="19"/>
      <c r="D13" s="19"/>
      <c r="E13" s="20"/>
      <c r="F13" s="19"/>
      <c r="G13" s="40">
        <v>22</v>
      </c>
      <c r="H13" s="22"/>
      <c r="I13" s="21"/>
      <c r="J13" s="3"/>
      <c r="K13" s="24"/>
      <c r="L13" s="40">
        <v>25</v>
      </c>
      <c r="M13" s="3"/>
      <c r="N13" s="136">
        <v>3.14</v>
      </c>
      <c r="O13" s="37"/>
      <c r="P13" s="139"/>
      <c r="Q13" s="143">
        <f>SQRT(N13*(G13+L13)/(G13*L13))</f>
        <v>0.5180031589935266</v>
      </c>
      <c r="R13" s="113">
        <f t="shared" si="0"/>
        <v>0.5093215418036909</v>
      </c>
      <c r="S13" s="14">
        <f t="shared" si="1"/>
        <v>0.6947365696033174</v>
      </c>
      <c r="T13" s="114">
        <f t="shared" si="2"/>
        <v>0.19473656960331742</v>
      </c>
    </row>
    <row r="14" spans="1:20" s="15" customFormat="1" ht="12.75">
      <c r="A14" s="158"/>
      <c r="B14" s="162" t="s">
        <v>19</v>
      </c>
      <c r="C14" s="74"/>
      <c r="D14" s="169"/>
      <c r="E14" s="75"/>
      <c r="F14" s="169"/>
      <c r="G14" s="37">
        <v>65</v>
      </c>
      <c r="H14" s="22"/>
      <c r="I14" s="21"/>
      <c r="J14" s="3"/>
      <c r="K14" s="24"/>
      <c r="L14" s="40">
        <v>65</v>
      </c>
      <c r="M14" s="3"/>
      <c r="N14" s="136">
        <v>1.02</v>
      </c>
      <c r="O14" s="37"/>
      <c r="P14" s="139"/>
      <c r="Q14" s="143">
        <f>SQRT(N14*(G14+L14)/(G14*L14))</f>
        <v>0.17715703594442808</v>
      </c>
      <c r="R14" s="113">
        <f t="shared" si="0"/>
        <v>0.176116975068042</v>
      </c>
      <c r="S14" s="14">
        <f t="shared" si="1"/>
        <v>0.5698989774046239</v>
      </c>
      <c r="T14" s="114">
        <f t="shared" si="2"/>
        <v>0.06989897740462392</v>
      </c>
    </row>
    <row r="15" spans="1:20" s="15" customFormat="1" ht="12.75">
      <c r="A15" s="159"/>
      <c r="B15" s="163" t="s">
        <v>20</v>
      </c>
      <c r="C15" s="156"/>
      <c r="D15" s="170"/>
      <c r="E15" s="71"/>
      <c r="F15" s="170"/>
      <c r="G15" s="38"/>
      <c r="H15" s="28"/>
      <c r="I15" s="27"/>
      <c r="J15" s="29"/>
      <c r="K15" s="36"/>
      <c r="L15" s="41"/>
      <c r="M15" s="29"/>
      <c r="N15" s="137"/>
      <c r="O15" s="38"/>
      <c r="P15" s="140"/>
      <c r="Q15" s="144"/>
      <c r="R15" s="115"/>
      <c r="S15" s="31"/>
      <c r="T15" s="117"/>
    </row>
    <row r="16" spans="1:20" s="15" customFormat="1" ht="15" customHeight="1">
      <c r="A16" s="231" t="s">
        <v>23</v>
      </c>
      <c r="B16" s="164" t="s">
        <v>18</v>
      </c>
      <c r="C16" s="2"/>
      <c r="D16" s="2"/>
      <c r="E16" s="151">
        <v>67.5</v>
      </c>
      <c r="F16" s="2">
        <v>6.4</v>
      </c>
      <c r="G16" s="13">
        <v>34</v>
      </c>
      <c r="H16" s="17"/>
      <c r="I16" s="7"/>
      <c r="J16" s="8">
        <v>68.6</v>
      </c>
      <c r="K16" s="18">
        <v>8.71</v>
      </c>
      <c r="L16" s="10">
        <v>36</v>
      </c>
      <c r="M16" s="8"/>
      <c r="N16" s="124"/>
      <c r="O16" s="13"/>
      <c r="P16" s="141">
        <f>SQRT((F16^2*(G16-1)+K16^2*(L16-1))/(G16+L16-2))</f>
        <v>7.676284621366987</v>
      </c>
      <c r="Q16" s="145">
        <f aca="true" t="shared" si="3" ref="Q16:Q21">(E16-J16)/P16</f>
        <v>-0.14329849064456746</v>
      </c>
      <c r="R16" s="118">
        <f>(Q16)*((1-(3/((4*(G16+L16))-9))))</f>
        <v>-0.14171216048983054</v>
      </c>
      <c r="S16" s="5">
        <f t="shared" si="1"/>
        <v>0.4436536846023484</v>
      </c>
      <c r="T16" s="119">
        <f t="shared" si="2"/>
        <v>-0.056346315397651614</v>
      </c>
    </row>
    <row r="17" spans="1:20" s="15" customFormat="1" ht="12.75">
      <c r="A17" s="232"/>
      <c r="B17" s="164" t="s">
        <v>19</v>
      </c>
      <c r="C17" s="2"/>
      <c r="D17" s="2"/>
      <c r="E17" s="151">
        <v>32.25</v>
      </c>
      <c r="F17" s="2">
        <v>4.33</v>
      </c>
      <c r="G17" s="13">
        <v>48</v>
      </c>
      <c r="H17" s="124"/>
      <c r="I17" s="17"/>
      <c r="J17" s="17">
        <v>30.25</v>
      </c>
      <c r="K17" s="17">
        <v>5.46</v>
      </c>
      <c r="L17" s="13">
        <v>48</v>
      </c>
      <c r="M17" s="130"/>
      <c r="N17" s="124"/>
      <c r="O17" s="13"/>
      <c r="P17" s="141">
        <f>SQRT((F17^2*(G17-1)+K17^2*(L17-1))/(G17+L17-2))</f>
        <v>4.9274993658041195</v>
      </c>
      <c r="Q17" s="145">
        <f t="shared" si="3"/>
        <v>0.40588538963182996</v>
      </c>
      <c r="R17" s="118">
        <f aca="true" t="shared" si="4" ref="R17:R24">(Q17)*((1-(3/((4*(G17+L17))-9))))</f>
        <v>0.40263830651477533</v>
      </c>
      <c r="S17" s="5">
        <f t="shared" si="1"/>
        <v>0.6563928374939626</v>
      </c>
      <c r="T17" s="119">
        <f t="shared" si="2"/>
        <v>0.1563928374939626</v>
      </c>
    </row>
    <row r="18" spans="1:20" s="15" customFormat="1" ht="12.75">
      <c r="A18" s="233"/>
      <c r="B18" s="165" t="s">
        <v>20</v>
      </c>
      <c r="C18" s="9"/>
      <c r="D18" s="9"/>
      <c r="E18" s="4"/>
      <c r="F18" s="9"/>
      <c r="G18" s="39"/>
      <c r="H18" s="125"/>
      <c r="I18" s="33"/>
      <c r="J18" s="33"/>
      <c r="K18" s="33"/>
      <c r="L18" s="39"/>
      <c r="M18" s="131"/>
      <c r="N18" s="125"/>
      <c r="O18" s="39"/>
      <c r="P18" s="142">
        <f aca="true" t="shared" si="5" ref="P18:P24">SQRT((F18^2*(G18-1)+K18^2*(L18-1))/(G18+L18-2))</f>
        <v>0</v>
      </c>
      <c r="Q18" s="146" t="e">
        <f t="shared" si="3"/>
        <v>#DIV/0!</v>
      </c>
      <c r="R18" s="121" t="e">
        <f t="shared" si="4"/>
        <v>#DIV/0!</v>
      </c>
      <c r="S18" s="4" t="e">
        <f t="shared" si="1"/>
        <v>#DIV/0!</v>
      </c>
      <c r="T18" s="120" t="e">
        <f t="shared" si="2"/>
        <v>#DIV/0!</v>
      </c>
    </row>
    <row r="19" spans="1:20" ht="12.75">
      <c r="A19" s="234" t="s">
        <v>25</v>
      </c>
      <c r="B19" s="166" t="s">
        <v>18</v>
      </c>
      <c r="C19" s="147">
        <v>56.03</v>
      </c>
      <c r="D19" s="147">
        <v>62.45</v>
      </c>
      <c r="E19" s="153">
        <f>D19-C19</f>
        <v>6.420000000000002</v>
      </c>
      <c r="F19" s="155">
        <v>9.63</v>
      </c>
      <c r="G19" s="123">
        <v>80</v>
      </c>
      <c r="H19" s="136">
        <v>58.64</v>
      </c>
      <c r="I19" s="22">
        <v>62.03</v>
      </c>
      <c r="J19" s="153">
        <f>I19-H19</f>
        <v>3.3900000000000006</v>
      </c>
      <c r="K19" s="22">
        <v>8.75</v>
      </c>
      <c r="L19" s="123">
        <v>78</v>
      </c>
      <c r="M19" s="132"/>
      <c r="N19" s="138"/>
      <c r="O19" s="43"/>
      <c r="P19" s="139">
        <f t="shared" si="5"/>
        <v>9.206160005739747</v>
      </c>
      <c r="Q19" s="143">
        <f t="shared" si="3"/>
        <v>0.3291274535866086</v>
      </c>
      <c r="R19" s="113">
        <f t="shared" si="4"/>
        <v>0.32754257018249977</v>
      </c>
      <c r="S19" s="14">
        <f t="shared" si="1"/>
        <v>0.6283712246749028</v>
      </c>
      <c r="T19" s="114">
        <f t="shared" si="2"/>
        <v>0.1283712246749028</v>
      </c>
    </row>
    <row r="20" spans="1:20" ht="12.75">
      <c r="A20" s="232"/>
      <c r="B20" s="166" t="s">
        <v>19</v>
      </c>
      <c r="C20" s="147">
        <v>66.23</v>
      </c>
      <c r="D20" s="147">
        <v>78.98</v>
      </c>
      <c r="E20" s="153">
        <f>D20-C20</f>
        <v>12.75</v>
      </c>
      <c r="F20" s="19">
        <v>11.02</v>
      </c>
      <c r="G20" s="37">
        <v>80</v>
      </c>
      <c r="H20" s="136">
        <v>65.33</v>
      </c>
      <c r="I20" s="22">
        <v>77.65</v>
      </c>
      <c r="J20" s="154">
        <f>I20-H20</f>
        <v>12.320000000000007</v>
      </c>
      <c r="K20" s="22">
        <v>10.67</v>
      </c>
      <c r="L20" s="123">
        <v>77</v>
      </c>
      <c r="M20" s="132"/>
      <c r="N20" s="126"/>
      <c r="O20" s="43"/>
      <c r="P20" s="139">
        <f t="shared" si="5"/>
        <v>10.84979797641561</v>
      </c>
      <c r="Q20" s="143">
        <f t="shared" si="3"/>
        <v>0.03963207434227724</v>
      </c>
      <c r="R20" s="113">
        <f t="shared" si="4"/>
        <v>0.03943999643754892</v>
      </c>
      <c r="S20" s="14">
        <f t="shared" si="1"/>
        <v>0.5157302039218526</v>
      </c>
      <c r="T20" s="114">
        <f t="shared" si="2"/>
        <v>0.015730203921852648</v>
      </c>
    </row>
    <row r="21" spans="1:20" ht="12.75">
      <c r="A21" s="233"/>
      <c r="B21" s="167" t="s">
        <v>20</v>
      </c>
      <c r="C21" s="148"/>
      <c r="D21" s="148"/>
      <c r="E21" s="152"/>
      <c r="F21" s="148"/>
      <c r="G21" s="109"/>
      <c r="H21" s="127"/>
      <c r="I21" s="148"/>
      <c r="J21" s="152"/>
      <c r="K21" s="148"/>
      <c r="L21" s="109"/>
      <c r="M21" s="133"/>
      <c r="N21" s="127"/>
      <c r="O21" s="109"/>
      <c r="P21" s="140">
        <f t="shared" si="5"/>
        <v>0</v>
      </c>
      <c r="Q21" s="144" t="e">
        <f t="shared" si="3"/>
        <v>#DIV/0!</v>
      </c>
      <c r="R21" s="115" t="e">
        <f t="shared" si="4"/>
        <v>#DIV/0!</v>
      </c>
      <c r="S21" s="31" t="e">
        <f t="shared" si="1"/>
        <v>#DIV/0!</v>
      </c>
      <c r="T21" s="117" t="e">
        <f t="shared" si="2"/>
        <v>#DIV/0!</v>
      </c>
    </row>
    <row r="22" spans="1:20" ht="12.75">
      <c r="A22" s="231" t="s">
        <v>99</v>
      </c>
      <c r="B22" s="168" t="s">
        <v>18</v>
      </c>
      <c r="C22" s="149">
        <v>56.03</v>
      </c>
      <c r="D22" s="149">
        <v>62.45</v>
      </c>
      <c r="E22" s="149"/>
      <c r="F22" s="17">
        <v>9.63</v>
      </c>
      <c r="G22" s="13">
        <v>80</v>
      </c>
      <c r="H22" s="124">
        <v>58.64</v>
      </c>
      <c r="I22" s="17">
        <v>62.03</v>
      </c>
      <c r="J22" s="149"/>
      <c r="K22" s="17">
        <v>8.75</v>
      </c>
      <c r="L22" s="13">
        <v>78</v>
      </c>
      <c r="M22" s="134"/>
      <c r="N22" s="128"/>
      <c r="O22" s="13">
        <v>0.75</v>
      </c>
      <c r="P22" s="141">
        <f t="shared" si="5"/>
        <v>9.206160005739747</v>
      </c>
      <c r="Q22" s="145">
        <f>((D22-I22)-O22*(C22-H22))/P22</f>
        <v>0.2582509969974132</v>
      </c>
      <c r="R22" s="118">
        <f t="shared" si="4"/>
        <v>0.257007412742209</v>
      </c>
      <c r="S22" s="5">
        <f t="shared" si="1"/>
        <v>0.6014134746505407</v>
      </c>
      <c r="T22" s="119">
        <f t="shared" si="2"/>
        <v>0.10141347465054074</v>
      </c>
    </row>
    <row r="23" spans="1:20" ht="12.75">
      <c r="A23" s="232"/>
      <c r="B23" s="168" t="s">
        <v>19</v>
      </c>
      <c r="C23" s="149">
        <v>66.23</v>
      </c>
      <c r="D23" s="149">
        <v>78.98</v>
      </c>
      <c r="E23" s="149"/>
      <c r="F23" s="2">
        <v>11.02</v>
      </c>
      <c r="G23" s="13">
        <v>80</v>
      </c>
      <c r="H23" s="124">
        <v>65.33</v>
      </c>
      <c r="I23" s="17">
        <v>77.65</v>
      </c>
      <c r="J23" s="149"/>
      <c r="K23" s="17">
        <v>10.67</v>
      </c>
      <c r="L23" s="13">
        <v>77</v>
      </c>
      <c r="M23" s="134"/>
      <c r="N23" s="128"/>
      <c r="O23" s="13">
        <v>0.82</v>
      </c>
      <c r="P23" s="141">
        <f t="shared" si="5"/>
        <v>10.84979797641561</v>
      </c>
      <c r="Q23" s="145">
        <f>((D23-I23)-O23*(C23-H23))/P23</f>
        <v>0.054563227931693666</v>
      </c>
      <c r="R23" s="118">
        <f t="shared" si="4"/>
        <v>0.05429878579309095</v>
      </c>
      <c r="S23" s="5">
        <f t="shared" si="1"/>
        <v>0.5216514415376056</v>
      </c>
      <c r="T23" s="119">
        <f t="shared" si="2"/>
        <v>0.021651441537605565</v>
      </c>
    </row>
    <row r="24" spans="1:20" ht="12.75">
      <c r="A24" s="233"/>
      <c r="B24" s="165" t="s">
        <v>20</v>
      </c>
      <c r="C24" s="150"/>
      <c r="D24" s="150"/>
      <c r="E24" s="150"/>
      <c r="F24" s="150"/>
      <c r="G24" s="110"/>
      <c r="H24" s="129"/>
      <c r="I24" s="150"/>
      <c r="J24" s="150"/>
      <c r="K24" s="150"/>
      <c r="L24" s="110"/>
      <c r="M24" s="135"/>
      <c r="N24" s="129"/>
      <c r="O24" s="110"/>
      <c r="P24" s="142">
        <f t="shared" si="5"/>
        <v>0</v>
      </c>
      <c r="Q24" s="146" t="e">
        <f>((D24-I24)-O24*(C24-H24))/P24</f>
        <v>#DIV/0!</v>
      </c>
      <c r="R24" s="121" t="e">
        <f t="shared" si="4"/>
        <v>#DIV/0!</v>
      </c>
      <c r="S24" s="4" t="e">
        <f t="shared" si="1"/>
        <v>#DIV/0!</v>
      </c>
      <c r="T24" s="120" t="e">
        <f t="shared" si="2"/>
        <v>#DIV/0!</v>
      </c>
    </row>
    <row r="25" ht="12.75">
      <c r="A25" s="1"/>
    </row>
    <row r="26" ht="12.75">
      <c r="A26" s="1"/>
    </row>
    <row r="27" ht="12.75">
      <c r="A27" s="1"/>
    </row>
  </sheetData>
  <sheetProtection/>
  <mergeCells count="13">
    <mergeCell ref="H5:L5"/>
    <mergeCell ref="C5:G5"/>
    <mergeCell ref="Q5:Q6"/>
    <mergeCell ref="A1:M1"/>
    <mergeCell ref="R5:R6"/>
    <mergeCell ref="P5:P6"/>
    <mergeCell ref="A16:A18"/>
    <mergeCell ref="A22:A24"/>
    <mergeCell ref="A19:A21"/>
    <mergeCell ref="B4:B6"/>
    <mergeCell ref="A4:A6"/>
    <mergeCell ref="P4:T4"/>
    <mergeCell ref="C4:N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9" max="9" width="16.421875" style="0" customWidth="1"/>
    <col min="10" max="10" width="11.8515625" style="0" customWidth="1"/>
    <col min="11" max="11" width="13.57421875" style="0" customWidth="1"/>
    <col min="12" max="12" width="8.421875" style="0" customWidth="1"/>
    <col min="13" max="13" width="13.8515625" style="0" customWidth="1"/>
  </cols>
  <sheetData>
    <row r="1" spans="1:13" ht="12.75">
      <c r="A1" s="225" t="s">
        <v>132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ht="12.75">
      <c r="A2" s="82" t="s">
        <v>101</v>
      </c>
    </row>
    <row r="4" spans="1:13" s="48" customFormat="1" ht="12.75">
      <c r="A4" s="255" t="s">
        <v>17</v>
      </c>
      <c r="B4" s="249" t="s">
        <v>7</v>
      </c>
      <c r="C4" s="249"/>
      <c r="D4" s="247"/>
      <c r="E4" s="249" t="s">
        <v>68</v>
      </c>
      <c r="F4" s="249"/>
      <c r="G4" s="252"/>
      <c r="H4" s="253" t="s">
        <v>15</v>
      </c>
      <c r="I4" s="254"/>
      <c r="J4" s="254"/>
      <c r="K4" s="254"/>
      <c r="L4" s="254"/>
      <c r="M4" s="254"/>
    </row>
    <row r="5" spans="1:13" s="48" customFormat="1" ht="25.5">
      <c r="A5" s="256"/>
      <c r="B5" s="189" t="s">
        <v>62</v>
      </c>
      <c r="C5" s="189" t="s">
        <v>70</v>
      </c>
      <c r="D5" s="198" t="s">
        <v>63</v>
      </c>
      <c r="E5" s="189" t="s">
        <v>64</v>
      </c>
      <c r="F5" s="189" t="s">
        <v>71</v>
      </c>
      <c r="G5" s="199" t="s">
        <v>65</v>
      </c>
      <c r="H5" s="200" t="s">
        <v>66</v>
      </c>
      <c r="I5" s="201" t="s">
        <v>67</v>
      </c>
      <c r="J5" s="200" t="s">
        <v>69</v>
      </c>
      <c r="K5" s="198" t="s">
        <v>11</v>
      </c>
      <c r="L5" s="202" t="s">
        <v>45</v>
      </c>
      <c r="M5" s="203" t="s">
        <v>46</v>
      </c>
    </row>
    <row r="6" spans="1:13" ht="12.75">
      <c r="A6" s="6" t="s">
        <v>18</v>
      </c>
      <c r="B6" s="19">
        <v>0.28</v>
      </c>
      <c r="C6" s="19">
        <v>30</v>
      </c>
      <c r="D6" s="14">
        <f aca="true" t="shared" si="0" ref="D6:D15">B6/(1-B6)</f>
        <v>0.38888888888888895</v>
      </c>
      <c r="E6" s="21">
        <v>0.22</v>
      </c>
      <c r="F6" s="3">
        <v>32</v>
      </c>
      <c r="G6" s="76">
        <f aca="true" t="shared" si="1" ref="G6:G15">E6/(1-E6)</f>
        <v>0.28205128205128205</v>
      </c>
      <c r="H6" s="14">
        <f aca="true" t="shared" si="2" ref="H6:H15">D6/G6</f>
        <v>1.3787878787878791</v>
      </c>
      <c r="I6" s="75">
        <f aca="true" t="shared" si="3" ref="I6:I15">LN(H6)</f>
        <v>0.32120476449042473</v>
      </c>
      <c r="J6" s="45">
        <f aca="true" t="shared" si="4" ref="J6:J15">I6/1.65</f>
        <v>0.19466955423662105</v>
      </c>
      <c r="K6" s="107">
        <f aca="true" t="shared" si="5" ref="K6:K15">(J6)*((1-(3/((4*(C6+F6))-9))))</f>
        <v>0.19222600334662163</v>
      </c>
      <c r="L6" s="70">
        <f aca="true" t="shared" si="6" ref="L6:L15">NORMSDIST(K6)</f>
        <v>0.5762174110075788</v>
      </c>
      <c r="M6" s="122">
        <f aca="true" t="shared" si="7" ref="M6:M15">L6-0.5</f>
        <v>0.07621741100757884</v>
      </c>
    </row>
    <row r="7" spans="1:13" ht="12.75">
      <c r="A7" s="6" t="s">
        <v>19</v>
      </c>
      <c r="B7" s="19">
        <v>0.78</v>
      </c>
      <c r="C7" s="19">
        <v>56</v>
      </c>
      <c r="D7" s="14">
        <f t="shared" si="0"/>
        <v>3.545454545454546</v>
      </c>
      <c r="E7" s="21">
        <v>0.82</v>
      </c>
      <c r="F7" s="3">
        <v>53</v>
      </c>
      <c r="G7" s="76">
        <f t="shared" si="1"/>
        <v>4.5555555555555545</v>
      </c>
      <c r="H7" s="14">
        <f t="shared" si="2"/>
        <v>0.7782705099778273</v>
      </c>
      <c r="I7" s="75">
        <f t="shared" si="3"/>
        <v>-0.2506811160368122</v>
      </c>
      <c r="J7" s="45">
        <f t="shared" si="4"/>
        <v>-0.15192794911321952</v>
      </c>
      <c r="K7" s="107">
        <f t="shared" si="5"/>
        <v>-0.1508605396346723</v>
      </c>
      <c r="L7" s="70">
        <f t="shared" si="6"/>
        <v>0.4400428644806407</v>
      </c>
      <c r="M7" s="122">
        <f t="shared" si="7"/>
        <v>-0.05995713551935927</v>
      </c>
    </row>
    <row r="8" spans="1:13" ht="12.75">
      <c r="A8" s="6" t="s">
        <v>20</v>
      </c>
      <c r="B8" s="74">
        <v>0.213</v>
      </c>
      <c r="C8" s="74">
        <v>185</v>
      </c>
      <c r="D8" s="14">
        <f t="shared" si="0"/>
        <v>0.2706480304955527</v>
      </c>
      <c r="E8" s="3">
        <v>0.322</v>
      </c>
      <c r="F8" s="3">
        <v>160</v>
      </c>
      <c r="G8" s="76">
        <f t="shared" si="1"/>
        <v>0.47492625368731567</v>
      </c>
      <c r="H8" s="14">
        <f t="shared" si="2"/>
        <v>0.5698738033415675</v>
      </c>
      <c r="I8" s="75">
        <f t="shared" si="3"/>
        <v>-0.562340340311991</v>
      </c>
      <c r="J8" s="45">
        <f t="shared" si="4"/>
        <v>-0.3408123274618127</v>
      </c>
      <c r="K8" s="107">
        <f t="shared" si="5"/>
        <v>-0.3400665674454849</v>
      </c>
      <c r="L8" s="70">
        <f t="shared" si="6"/>
        <v>0.36690319913064345</v>
      </c>
      <c r="M8" s="122">
        <f t="shared" si="7"/>
        <v>-0.13309680086935655</v>
      </c>
    </row>
    <row r="9" spans="4:13" ht="12.75">
      <c r="D9" s="14">
        <f t="shared" si="0"/>
        <v>0</v>
      </c>
      <c r="G9" s="76">
        <f t="shared" si="1"/>
        <v>0</v>
      </c>
      <c r="H9" s="14" t="e">
        <f t="shared" si="2"/>
        <v>#DIV/0!</v>
      </c>
      <c r="I9" s="75" t="e">
        <f t="shared" si="3"/>
        <v>#DIV/0!</v>
      </c>
      <c r="J9" s="45" t="e">
        <f t="shared" si="4"/>
        <v>#DIV/0!</v>
      </c>
      <c r="K9" s="107" t="e">
        <f t="shared" si="5"/>
        <v>#DIV/0!</v>
      </c>
      <c r="L9" s="70" t="e">
        <f t="shared" si="6"/>
        <v>#DIV/0!</v>
      </c>
      <c r="M9" s="122" t="e">
        <f t="shared" si="7"/>
        <v>#DIV/0!</v>
      </c>
    </row>
    <row r="10" spans="4:13" ht="12.75">
      <c r="D10" s="14">
        <f t="shared" si="0"/>
        <v>0</v>
      </c>
      <c r="G10" s="76">
        <f t="shared" si="1"/>
        <v>0</v>
      </c>
      <c r="H10" s="14" t="e">
        <f t="shared" si="2"/>
        <v>#DIV/0!</v>
      </c>
      <c r="I10" s="75" t="e">
        <f t="shared" si="3"/>
        <v>#DIV/0!</v>
      </c>
      <c r="J10" s="45" t="e">
        <f t="shared" si="4"/>
        <v>#DIV/0!</v>
      </c>
      <c r="K10" s="107" t="e">
        <f t="shared" si="5"/>
        <v>#DIV/0!</v>
      </c>
      <c r="L10" s="70" t="e">
        <f t="shared" si="6"/>
        <v>#DIV/0!</v>
      </c>
      <c r="M10" s="122" t="e">
        <f t="shared" si="7"/>
        <v>#DIV/0!</v>
      </c>
    </row>
    <row r="11" spans="4:13" ht="12.75">
      <c r="D11" s="14">
        <f t="shared" si="0"/>
        <v>0</v>
      </c>
      <c r="G11" s="76">
        <f t="shared" si="1"/>
        <v>0</v>
      </c>
      <c r="H11" s="14" t="e">
        <f t="shared" si="2"/>
        <v>#DIV/0!</v>
      </c>
      <c r="I11" s="75" t="e">
        <f t="shared" si="3"/>
        <v>#DIV/0!</v>
      </c>
      <c r="J11" s="45" t="e">
        <f t="shared" si="4"/>
        <v>#DIV/0!</v>
      </c>
      <c r="K11" s="107" t="e">
        <f t="shared" si="5"/>
        <v>#DIV/0!</v>
      </c>
      <c r="L11" s="70" t="e">
        <f t="shared" si="6"/>
        <v>#DIV/0!</v>
      </c>
      <c r="M11" s="122" t="e">
        <f t="shared" si="7"/>
        <v>#DIV/0!</v>
      </c>
    </row>
    <row r="12" spans="4:13" ht="12.75">
      <c r="D12" s="14">
        <f t="shared" si="0"/>
        <v>0</v>
      </c>
      <c r="G12" s="76">
        <f t="shared" si="1"/>
        <v>0</v>
      </c>
      <c r="H12" s="14" t="e">
        <f t="shared" si="2"/>
        <v>#DIV/0!</v>
      </c>
      <c r="I12" s="75" t="e">
        <f t="shared" si="3"/>
        <v>#DIV/0!</v>
      </c>
      <c r="J12" s="45" t="e">
        <f t="shared" si="4"/>
        <v>#DIV/0!</v>
      </c>
      <c r="K12" s="107" t="e">
        <f t="shared" si="5"/>
        <v>#DIV/0!</v>
      </c>
      <c r="L12" s="70" t="e">
        <f t="shared" si="6"/>
        <v>#DIV/0!</v>
      </c>
      <c r="M12" s="122" t="e">
        <f t="shared" si="7"/>
        <v>#DIV/0!</v>
      </c>
    </row>
    <row r="13" spans="4:13" ht="12.75">
      <c r="D13" s="14">
        <f t="shared" si="0"/>
        <v>0</v>
      </c>
      <c r="G13" s="76">
        <f t="shared" si="1"/>
        <v>0</v>
      </c>
      <c r="H13" s="14" t="e">
        <f t="shared" si="2"/>
        <v>#DIV/0!</v>
      </c>
      <c r="I13" s="75" t="e">
        <f t="shared" si="3"/>
        <v>#DIV/0!</v>
      </c>
      <c r="J13" s="45" t="e">
        <f t="shared" si="4"/>
        <v>#DIV/0!</v>
      </c>
      <c r="K13" s="107" t="e">
        <f t="shared" si="5"/>
        <v>#DIV/0!</v>
      </c>
      <c r="L13" s="70" t="e">
        <f t="shared" si="6"/>
        <v>#DIV/0!</v>
      </c>
      <c r="M13" s="122" t="e">
        <f t="shared" si="7"/>
        <v>#DIV/0!</v>
      </c>
    </row>
    <row r="14" spans="4:13" ht="12.75">
      <c r="D14" s="14">
        <f t="shared" si="0"/>
        <v>0</v>
      </c>
      <c r="G14" s="76">
        <f t="shared" si="1"/>
        <v>0</v>
      </c>
      <c r="H14" s="14" t="e">
        <f t="shared" si="2"/>
        <v>#DIV/0!</v>
      </c>
      <c r="I14" s="75" t="e">
        <f t="shared" si="3"/>
        <v>#DIV/0!</v>
      </c>
      <c r="J14" s="45" t="e">
        <f t="shared" si="4"/>
        <v>#DIV/0!</v>
      </c>
      <c r="K14" s="107" t="e">
        <f t="shared" si="5"/>
        <v>#DIV/0!</v>
      </c>
      <c r="L14" s="70" t="e">
        <f t="shared" si="6"/>
        <v>#DIV/0!</v>
      </c>
      <c r="M14" s="122" t="e">
        <f t="shared" si="7"/>
        <v>#DIV/0!</v>
      </c>
    </row>
    <row r="15" spans="1:13" ht="12.75">
      <c r="A15" s="65"/>
      <c r="B15" s="65"/>
      <c r="C15" s="65"/>
      <c r="D15" s="31">
        <f t="shared" si="0"/>
        <v>0</v>
      </c>
      <c r="E15" s="65"/>
      <c r="F15" s="65"/>
      <c r="G15" s="111">
        <f t="shared" si="1"/>
        <v>0</v>
      </c>
      <c r="H15" s="31" t="e">
        <f t="shared" si="2"/>
        <v>#DIV/0!</v>
      </c>
      <c r="I15" s="71" t="e">
        <f t="shared" si="3"/>
        <v>#DIV/0!</v>
      </c>
      <c r="J15" s="46" t="e">
        <f t="shared" si="4"/>
        <v>#DIV/0!</v>
      </c>
      <c r="K15" s="112" t="e">
        <f t="shared" si="5"/>
        <v>#DIV/0!</v>
      </c>
      <c r="L15" s="71" t="e">
        <f t="shared" si="6"/>
        <v>#DIV/0!</v>
      </c>
      <c r="M15" s="116" t="e">
        <f t="shared" si="7"/>
        <v>#DIV/0!</v>
      </c>
    </row>
  </sheetData>
  <sheetProtection/>
  <mergeCells count="5">
    <mergeCell ref="A1:M1"/>
    <mergeCell ref="B4:D4"/>
    <mergeCell ref="E4:G4"/>
    <mergeCell ref="H4:M4"/>
    <mergeCell ref="A4:A5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3.00390625" style="0" customWidth="1"/>
    <col min="2" max="2" width="15.28125" style="0" customWidth="1"/>
    <col min="3" max="3" width="13.421875" style="0" customWidth="1"/>
    <col min="4" max="4" width="13.7109375" style="0" customWidth="1"/>
  </cols>
  <sheetData>
    <row r="1" spans="1:4" ht="12.75">
      <c r="A1" s="171" t="s">
        <v>130</v>
      </c>
      <c r="B1" s="62"/>
      <c r="C1" s="62"/>
      <c r="D1" s="62"/>
    </row>
    <row r="2" spans="1:5" ht="12.75">
      <c r="A2" s="82" t="s">
        <v>101</v>
      </c>
      <c r="B2" s="62"/>
      <c r="C2" s="62"/>
      <c r="D2" s="62"/>
      <c r="E2" s="42"/>
    </row>
    <row r="3" spans="1:5" ht="12.75">
      <c r="A3" s="77"/>
      <c r="B3" s="62"/>
      <c r="C3" s="62"/>
      <c r="D3" s="62"/>
      <c r="E3" s="42"/>
    </row>
    <row r="4" spans="1:5" ht="12.75">
      <c r="A4" s="245" t="s">
        <v>72</v>
      </c>
      <c r="B4" s="259"/>
      <c r="C4" s="259"/>
      <c r="D4" s="259"/>
      <c r="E4" s="132"/>
    </row>
    <row r="5" spans="1:5" ht="12.75">
      <c r="A5" s="88"/>
      <c r="B5" s="178" t="s">
        <v>119</v>
      </c>
      <c r="C5" s="93" t="s">
        <v>120</v>
      </c>
      <c r="D5" s="93" t="s">
        <v>121</v>
      </c>
      <c r="E5" s="132"/>
    </row>
    <row r="6" spans="1:5" ht="12.75">
      <c r="A6" s="89" t="s">
        <v>122</v>
      </c>
      <c r="B6" s="94">
        <v>166</v>
      </c>
      <c r="C6" s="179">
        <v>173</v>
      </c>
      <c r="D6" s="179">
        <v>173</v>
      </c>
      <c r="E6" s="132"/>
    </row>
    <row r="7" spans="1:5" ht="12.75">
      <c r="A7" s="89" t="s">
        <v>123</v>
      </c>
      <c r="B7" s="94">
        <v>147</v>
      </c>
      <c r="C7" s="94">
        <v>169</v>
      </c>
      <c r="D7" s="94">
        <v>169</v>
      </c>
      <c r="E7" s="132"/>
    </row>
    <row r="8" spans="1:5" ht="12.75">
      <c r="A8" s="89" t="s">
        <v>73</v>
      </c>
      <c r="B8" s="94">
        <f>B6+B7</f>
        <v>313</v>
      </c>
      <c r="C8" s="94">
        <f>C6+C7</f>
        <v>342</v>
      </c>
      <c r="D8" s="94">
        <f>D6+D7</f>
        <v>342</v>
      </c>
      <c r="E8" s="132"/>
    </row>
    <row r="9" spans="1:5" ht="12.75">
      <c r="A9" s="89"/>
      <c r="B9" s="94"/>
      <c r="C9" s="94"/>
      <c r="D9" s="94"/>
      <c r="E9" s="132"/>
    </row>
    <row r="10" spans="1:5" ht="12.75">
      <c r="A10" s="90" t="s">
        <v>124</v>
      </c>
      <c r="B10" s="94">
        <v>10</v>
      </c>
      <c r="C10" s="94">
        <v>10</v>
      </c>
      <c r="D10" s="94">
        <v>10</v>
      </c>
      <c r="E10" s="132"/>
    </row>
    <row r="11" spans="1:5" ht="12.75">
      <c r="A11" s="90" t="s">
        <v>125</v>
      </c>
      <c r="B11" s="94">
        <v>9</v>
      </c>
      <c r="C11" s="94">
        <v>9</v>
      </c>
      <c r="D11" s="94">
        <v>9</v>
      </c>
      <c r="E11" s="132"/>
    </row>
    <row r="12" spans="1:5" ht="12.75">
      <c r="A12" s="89" t="s">
        <v>126</v>
      </c>
      <c r="B12" s="94">
        <f>B10+B11</f>
        <v>19</v>
      </c>
      <c r="C12" s="94">
        <f>C10+C11</f>
        <v>19</v>
      </c>
      <c r="D12" s="94">
        <f>D10+D11</f>
        <v>19</v>
      </c>
      <c r="E12" s="132"/>
    </row>
    <row r="13" spans="1:5" ht="12.75">
      <c r="A13" s="89"/>
      <c r="B13" s="94"/>
      <c r="C13" s="94"/>
      <c r="D13" s="94"/>
      <c r="E13" s="132"/>
    </row>
    <row r="14" spans="1:5" ht="12.75">
      <c r="A14" s="89" t="s">
        <v>129</v>
      </c>
      <c r="B14" s="94">
        <v>0.39</v>
      </c>
      <c r="C14" s="94">
        <v>0.42</v>
      </c>
      <c r="D14" s="94">
        <v>0.37</v>
      </c>
      <c r="E14" s="132"/>
    </row>
    <row r="15" spans="1:5" ht="12.75">
      <c r="A15" s="89"/>
      <c r="B15" s="94"/>
      <c r="C15" s="94"/>
      <c r="D15" s="94"/>
      <c r="E15" s="132"/>
    </row>
    <row r="16" spans="1:5" ht="12.75">
      <c r="A16" s="91" t="s">
        <v>128</v>
      </c>
      <c r="B16" s="93">
        <v>0.13</v>
      </c>
      <c r="C16" s="180">
        <v>0.1</v>
      </c>
      <c r="D16" s="180">
        <v>0.13</v>
      </c>
      <c r="E16" s="132"/>
    </row>
    <row r="17" spans="1:5" ht="12.75">
      <c r="A17" s="257" t="s">
        <v>74</v>
      </c>
      <c r="B17" s="242"/>
      <c r="C17" s="258"/>
      <c r="D17" s="258"/>
      <c r="E17" s="132"/>
    </row>
    <row r="18" spans="1:5" ht="12.75">
      <c r="A18" s="92" t="s">
        <v>127</v>
      </c>
      <c r="B18" s="204">
        <f>B8/B12</f>
        <v>16.473684210526315</v>
      </c>
      <c r="C18" s="205">
        <f>C8/C12</f>
        <v>18</v>
      </c>
      <c r="D18" s="206">
        <f>D8/D12</f>
        <v>18</v>
      </c>
      <c r="E18" s="132"/>
    </row>
    <row r="19" spans="1:5" ht="12.75">
      <c r="A19" s="89"/>
      <c r="B19" s="207"/>
      <c r="C19" s="208"/>
      <c r="D19" s="209"/>
      <c r="E19" s="132"/>
    </row>
    <row r="20" spans="1:5" ht="12.75">
      <c r="A20" s="89" t="s">
        <v>75</v>
      </c>
      <c r="B20" s="207">
        <f>B14*SQRT(B6*B7/B8)</f>
        <v>3.4435401391730354</v>
      </c>
      <c r="C20" s="208">
        <f>C14*SQRT(C6*C7/C8)</f>
        <v>3.883315187067007</v>
      </c>
      <c r="D20" s="209">
        <f>D14*SQRT(D6*D7/D8)</f>
        <v>3.4210157600352202</v>
      </c>
      <c r="E20" s="132"/>
    </row>
    <row r="21" spans="1:5" ht="12.75">
      <c r="A21" s="89" t="s">
        <v>76</v>
      </c>
      <c r="B21" s="207">
        <f>B20*SQRT(((B8-2)-2*(B18-1)*B16)/((B8-2)*(1+(B18-1)*B16)))</f>
        <v>1.9714267083189556</v>
      </c>
      <c r="C21" s="208">
        <f>C20*SQRT(((C8-2)-2*(C18-1)*C16)/((C8-2)*(1+(C18-1)*C16)))</f>
        <v>2.3514641202391178</v>
      </c>
      <c r="D21" s="209">
        <f>D20*SQRT(((D8-2)-2*(D18-1)*D16)/((D8-2)*(1+(D18-1)*D16)))</f>
        <v>1.896972936712908</v>
      </c>
      <c r="E21" s="132"/>
    </row>
    <row r="22" spans="1:5" ht="12.75">
      <c r="A22" s="43"/>
      <c r="B22" s="207"/>
      <c r="C22" s="208"/>
      <c r="D22" s="209"/>
      <c r="E22" s="132"/>
    </row>
    <row r="23" spans="1:5" ht="12.75">
      <c r="A23" s="89" t="s">
        <v>77</v>
      </c>
      <c r="B23" s="207">
        <f>((B8-2)-2*(B18-1)*B16)^2</f>
        <v>94234.78158891965</v>
      </c>
      <c r="C23" s="208">
        <f>((C8-2)-2*(C18-1)*C16)^2</f>
        <v>113299.56000000001</v>
      </c>
      <c r="D23" s="209">
        <f>((D8-2)-2*(D18-1)*D16)^2</f>
        <v>112613.93639999999</v>
      </c>
      <c r="E23" s="132"/>
    </row>
    <row r="24" spans="1:5" ht="12.75">
      <c r="A24" s="89" t="s">
        <v>78</v>
      </c>
      <c r="B24" s="207">
        <f>(B8-2)*(1-B16)^2+B18*(B8-2*B18)*(B16^2)+2*(B8-2*B18)*B16*(1-B16)</f>
        <v>376.71193185595575</v>
      </c>
      <c r="C24" s="208">
        <f>(C8-2)*(1-C16)^2+C18*(C8-2*C18)*(C16^2)+2*(C8-2*C18)*C16*(1-C16)</f>
        <v>385.56</v>
      </c>
      <c r="D24" s="209">
        <f>(D8-2)*(1-D16)^2+D18*(D8-2*D18)*(D16^2)+2*(D8-2*D18)*D16*(1-D16)</f>
        <v>419.6484</v>
      </c>
      <c r="E24" s="132"/>
    </row>
    <row r="25" spans="1:5" ht="12.75">
      <c r="A25" s="89" t="s">
        <v>79</v>
      </c>
      <c r="B25" s="207">
        <f>B23/B24</f>
        <v>250.15077469049328</v>
      </c>
      <c r="C25" s="208">
        <f>C23/C24</f>
        <v>293.8571428571429</v>
      </c>
      <c r="D25" s="209">
        <f>D23/D24</f>
        <v>268.353069855622</v>
      </c>
      <c r="E25" s="132"/>
    </row>
    <row r="26" spans="1:5" ht="12.75">
      <c r="A26" s="43"/>
      <c r="B26" s="207"/>
      <c r="C26" s="208"/>
      <c r="D26" s="209"/>
      <c r="E26" s="132"/>
    </row>
    <row r="27" spans="1:5" ht="12.75">
      <c r="A27" s="212" t="s">
        <v>80</v>
      </c>
      <c r="B27" s="210">
        <f>TDIST(B21,B25,2)</f>
        <v>0.04977782507374756</v>
      </c>
      <c r="C27" s="211">
        <f>TDIST(C21,C25,2)</f>
        <v>0.01936189082510763</v>
      </c>
      <c r="D27" s="211">
        <f>TDIST(D21,D25,2)</f>
        <v>0.058906547044678806</v>
      </c>
      <c r="E27" s="132"/>
    </row>
  </sheetData>
  <sheetProtection/>
  <mergeCells count="2">
    <mergeCell ref="A17:D17"/>
    <mergeCell ref="A4:D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3.7109375" style="0" customWidth="1"/>
    <col min="2" max="2" width="23.140625" style="0" customWidth="1"/>
    <col min="3" max="3" width="26.7109375" style="0" customWidth="1"/>
    <col min="4" max="4" width="13.8515625" style="0" customWidth="1"/>
    <col min="5" max="5" width="18.57421875" style="0" customWidth="1"/>
    <col min="6" max="6" width="14.7109375" style="0" customWidth="1"/>
    <col min="7" max="7" width="22.140625" style="0" customWidth="1"/>
  </cols>
  <sheetData>
    <row r="1" spans="1:7" ht="12.75">
      <c r="A1" s="260" t="s">
        <v>134</v>
      </c>
      <c r="B1" s="260"/>
      <c r="C1" s="260"/>
      <c r="D1" s="260"/>
      <c r="E1" s="260"/>
      <c r="F1" s="260"/>
      <c r="G1" s="260"/>
    </row>
    <row r="2" spans="1:7" ht="12.75">
      <c r="A2" s="82" t="s">
        <v>101</v>
      </c>
      <c r="B2" s="81"/>
      <c r="C2" s="81"/>
      <c r="D2" s="81"/>
      <c r="E2" s="81"/>
      <c r="F2" s="81"/>
      <c r="G2" s="81"/>
    </row>
    <row r="3" spans="1:7" ht="12.75">
      <c r="A3" s="82"/>
      <c r="B3" s="81"/>
      <c r="C3" s="81"/>
      <c r="D3" s="81"/>
      <c r="E3" s="81"/>
      <c r="F3" s="81"/>
      <c r="G3" s="81"/>
    </row>
    <row r="4" spans="1:7" ht="12.75">
      <c r="A4" s="215" t="s">
        <v>102</v>
      </c>
      <c r="B4" s="81"/>
      <c r="C4" s="81"/>
      <c r="D4" s="81"/>
      <c r="E4" s="81"/>
      <c r="F4" s="81"/>
      <c r="G4" s="81"/>
    </row>
    <row r="5" spans="1:7" ht="12.75">
      <c r="A5" s="64" t="s">
        <v>116</v>
      </c>
      <c r="B5" s="54"/>
      <c r="C5" s="55"/>
      <c r="D5" s="56"/>
      <c r="E5" s="55"/>
      <c r="F5" s="57"/>
      <c r="G5" s="58"/>
    </row>
    <row r="6" spans="1:7" ht="12.75">
      <c r="A6" s="108" t="s">
        <v>118</v>
      </c>
      <c r="B6" s="59"/>
      <c r="C6" s="55"/>
      <c r="D6" s="58"/>
      <c r="E6" s="55"/>
      <c r="F6" s="57"/>
      <c r="G6" s="58"/>
    </row>
    <row r="7" spans="1:7" ht="12.75">
      <c r="A7" s="216" t="s">
        <v>135</v>
      </c>
      <c r="B7" s="60"/>
      <c r="C7" s="55"/>
      <c r="D7" s="61"/>
      <c r="E7" s="55"/>
      <c r="F7" s="57"/>
      <c r="G7" s="62"/>
    </row>
    <row r="8" spans="1:7" ht="12.75">
      <c r="A8" s="108" t="s">
        <v>57</v>
      </c>
      <c r="B8" s="59"/>
      <c r="C8" s="57"/>
      <c r="D8" s="63"/>
      <c r="E8" s="57"/>
      <c r="F8" s="57"/>
      <c r="G8" s="58"/>
    </row>
    <row r="10" spans="1:7" s="44" customFormat="1" ht="33.75" customHeight="1">
      <c r="A10" s="213" t="s">
        <v>17</v>
      </c>
      <c r="B10" s="214" t="s">
        <v>58</v>
      </c>
      <c r="C10" s="214" t="s">
        <v>117</v>
      </c>
      <c r="D10" s="214" t="s">
        <v>48</v>
      </c>
      <c r="E10" s="201" t="s">
        <v>59</v>
      </c>
      <c r="F10" s="201" t="s">
        <v>60</v>
      </c>
      <c r="G10" s="214" t="s">
        <v>61</v>
      </c>
    </row>
    <row r="11" spans="1:7" ht="12.75">
      <c r="A11" s="49" t="s">
        <v>49</v>
      </c>
      <c r="B11" s="49" t="s">
        <v>50</v>
      </c>
      <c r="C11" s="49" t="s">
        <v>51</v>
      </c>
      <c r="D11" s="49" t="s">
        <v>52</v>
      </c>
      <c r="E11" s="83" t="s">
        <v>53</v>
      </c>
      <c r="F11" s="84" t="s">
        <v>54</v>
      </c>
      <c r="G11" s="49" t="s">
        <v>55</v>
      </c>
    </row>
    <row r="12" spans="1:7" ht="12.75">
      <c r="A12" s="64" t="s">
        <v>18</v>
      </c>
      <c r="B12" s="66">
        <v>7</v>
      </c>
      <c r="C12" s="67">
        <v>0.00465519581944044</v>
      </c>
      <c r="D12" s="68">
        <v>1</v>
      </c>
      <c r="E12" s="85">
        <f>D12/B12*0.05</f>
        <v>0.007142857142857143</v>
      </c>
      <c r="F12" s="86" t="str">
        <f>IF(C12&lt;=E12,"YES","NO")</f>
        <v>YES</v>
      </c>
      <c r="G12" s="68" t="s">
        <v>56</v>
      </c>
    </row>
    <row r="13" spans="1:7" ht="12.75">
      <c r="A13" s="174" t="s">
        <v>19</v>
      </c>
      <c r="B13" s="175">
        <v>7</v>
      </c>
      <c r="C13" s="172">
        <v>0.0082</v>
      </c>
      <c r="D13" s="47">
        <v>2</v>
      </c>
      <c r="E13" s="176">
        <f>D13/B13*0.05</f>
        <v>0.014285714285714285</v>
      </c>
      <c r="F13" s="177" t="str">
        <f>IF(C13&lt;=E13,"YES","NO")</f>
        <v>YES</v>
      </c>
      <c r="G13" s="47" t="s">
        <v>56</v>
      </c>
    </row>
    <row r="14" spans="1:7" ht="12.75">
      <c r="A14" s="64" t="s">
        <v>20</v>
      </c>
      <c r="B14" s="66">
        <v>7</v>
      </c>
      <c r="C14" s="67">
        <v>0.023</v>
      </c>
      <c r="D14" s="68">
        <v>3</v>
      </c>
      <c r="E14" s="85">
        <f>D14/B14*0.05</f>
        <v>0.02142857142857143</v>
      </c>
      <c r="F14" s="173" t="str">
        <f>IF(C14&lt;=E14,"YES","NO")</f>
        <v>NO</v>
      </c>
      <c r="G14" s="68" t="s">
        <v>104</v>
      </c>
    </row>
    <row r="15" spans="1:7" ht="12.75">
      <c r="A15" s="64" t="s">
        <v>103</v>
      </c>
      <c r="B15" s="66">
        <v>7</v>
      </c>
      <c r="C15" s="67">
        <v>0.046</v>
      </c>
      <c r="D15" s="68">
        <v>4</v>
      </c>
      <c r="E15" s="85">
        <f>D15/B15*0.05</f>
        <v>0.02857142857142857</v>
      </c>
      <c r="F15" s="173" t="str">
        <f>IF(C15&lt;=E15,"YES","NO")</f>
        <v>NO</v>
      </c>
      <c r="G15" s="68" t="s">
        <v>104</v>
      </c>
    </row>
    <row r="16" spans="1:7" ht="12.75">
      <c r="A16" s="65"/>
      <c r="B16" s="50"/>
      <c r="C16" s="51"/>
      <c r="D16" s="52"/>
      <c r="E16" s="87"/>
      <c r="F16" s="87"/>
      <c r="G16" s="53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16885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Mengli Song</dc:creator>
  <cp:keywords/>
  <dc:description/>
  <cp:lastModifiedBy>Bogle, Lara Suziedelis</cp:lastModifiedBy>
  <dcterms:created xsi:type="dcterms:W3CDTF">2006-06-09T14:10:17Z</dcterms:created>
  <dcterms:modified xsi:type="dcterms:W3CDTF">2021-02-17T21:52:53Z</dcterms:modified>
  <cp:category/>
  <cp:version/>
  <cp:contentType/>
  <cp:contentStatus/>
</cp:coreProperties>
</file>